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โปรแกรมคำนวณเงินกู้ สอ.มข." sheetId="185" r:id="rId1"/>
    <sheet name="1.กรอกข้อมูลสลิปเงินเดือน" sheetId="183" r:id="rId2"/>
    <sheet name="2.กรอกข้อมูลสหกรณ์ออมทรัพย์ มข" sheetId="184" r:id="rId3"/>
  </sheets>
  <calcPr calcId="152511"/>
</workbook>
</file>

<file path=xl/calcChain.xml><?xml version="1.0" encoding="utf-8"?>
<calcChain xmlns="http://schemas.openxmlformats.org/spreadsheetml/2006/main">
  <c r="I20" i="184" l="1"/>
  <c r="AB19" i="184"/>
  <c r="I19" i="184"/>
  <c r="AD15" i="184"/>
  <c r="AC14" i="184"/>
  <c r="M14" i="184"/>
  <c r="AC13" i="184"/>
  <c r="G13" i="184"/>
  <c r="D13" i="184"/>
  <c r="AE12" i="184"/>
  <c r="AD12" i="184"/>
  <c r="AC12" i="184"/>
  <c r="AB12" i="184"/>
  <c r="O12" i="184"/>
  <c r="M12" i="184"/>
  <c r="AE11" i="184"/>
  <c r="AD11" i="184"/>
  <c r="AC11" i="184"/>
  <c r="AB11" i="184"/>
  <c r="O11" i="184"/>
  <c r="M11" i="184"/>
  <c r="AE10" i="184"/>
  <c r="AD10" i="184"/>
  <c r="AC10" i="184"/>
  <c r="AB10" i="184"/>
  <c r="O10" i="184"/>
  <c r="M10" i="184"/>
  <c r="AE9" i="184"/>
  <c r="AD9" i="184"/>
  <c r="AC9" i="184"/>
  <c r="AB9" i="184"/>
  <c r="O9" i="184"/>
  <c r="M9" i="184"/>
  <c r="AD8" i="184"/>
  <c r="AE8" i="184" s="1"/>
  <c r="AC8" i="184"/>
  <c r="AB8" i="184"/>
  <c r="O8" i="184"/>
  <c r="M8" i="184"/>
  <c r="AE7" i="184"/>
  <c r="AD7" i="184"/>
  <c r="AC7" i="184"/>
  <c r="AB7" i="184"/>
  <c r="O7" i="184"/>
  <c r="M7" i="184"/>
  <c r="AE6" i="184"/>
  <c r="AD6" i="184"/>
  <c r="AC6" i="184"/>
  <c r="AB6" i="184"/>
  <c r="O6" i="184"/>
  <c r="AE5" i="184"/>
  <c r="AD5" i="184"/>
  <c r="AC5" i="184"/>
  <c r="AB5" i="184"/>
  <c r="M5" i="184"/>
  <c r="J5" i="184"/>
  <c r="AE4" i="184"/>
  <c r="AD4" i="184"/>
  <c r="AC4" i="184"/>
  <c r="AB4" i="184"/>
  <c r="O4" i="184"/>
  <c r="M4" i="184"/>
  <c r="AC2" i="184"/>
  <c r="AN1" i="184"/>
  <c r="AN4" i="184" s="1"/>
  <c r="AN8" i="184" s="1"/>
  <c r="J1" i="184"/>
  <c r="E1" i="184"/>
  <c r="D1" i="184"/>
  <c r="B1" i="184"/>
  <c r="H13" i="183"/>
  <c r="D5" i="183"/>
  <c r="AC15" i="184" l="1"/>
  <c r="AC16" i="184" s="1"/>
  <c r="AD16" i="184"/>
  <c r="D11" i="183"/>
  <c r="D12" i="183" s="1"/>
  <c r="AN2" i="184"/>
  <c r="AN3" i="184" s="1"/>
  <c r="AN5" i="184" s="1"/>
  <c r="AN11" i="184" s="1"/>
  <c r="AC1" i="184" s="1"/>
  <c r="AC20" i="184" l="1"/>
  <c r="AJ9" i="184"/>
  <c r="AJ11" i="184"/>
  <c r="AJ4" i="184"/>
  <c r="AJ12" i="184"/>
  <c r="AJ8" i="184"/>
  <c r="AJ5" i="184"/>
  <c r="AJ10" i="184"/>
  <c r="AJ6" i="184"/>
  <c r="AJ7" i="184"/>
  <c r="AF10" i="184"/>
  <c r="AF7" i="184"/>
  <c r="AF5" i="184"/>
  <c r="AF12" i="184"/>
  <c r="AF11" i="184"/>
  <c r="AF8" i="184"/>
  <c r="AF9" i="184"/>
  <c r="AF6" i="184"/>
  <c r="AF4" i="184"/>
  <c r="L5" i="184" l="1"/>
  <c r="AG5" i="184"/>
  <c r="AH5" i="184" s="1"/>
  <c r="AI5" i="184" s="1"/>
  <c r="AG6" i="184"/>
  <c r="AH6" i="184" s="1"/>
  <c r="AI6" i="184" s="1"/>
  <c r="J6" i="184" s="1"/>
  <c r="L6" i="184"/>
  <c r="AG9" i="184"/>
  <c r="AH9" i="184" s="1"/>
  <c r="AI9" i="184" s="1"/>
  <c r="J9" i="184" s="1"/>
  <c r="L9" i="184"/>
  <c r="AG8" i="184"/>
  <c r="AH8" i="184" s="1"/>
  <c r="AI8" i="184" s="1"/>
  <c r="J8" i="184" s="1"/>
  <c r="L8" i="184"/>
  <c r="AG7" i="184"/>
  <c r="AH7" i="184" s="1"/>
  <c r="AI7" i="184" s="1"/>
  <c r="J7" i="184" s="1"/>
  <c r="L7" i="184"/>
  <c r="AG12" i="184"/>
  <c r="AH12" i="184" s="1"/>
  <c r="AI12" i="184" s="1"/>
  <c r="J12" i="184" s="1"/>
  <c r="L12" i="184"/>
  <c r="AK4" i="184"/>
  <c r="AL4" i="184" s="1"/>
  <c r="J4" i="184" s="1"/>
  <c r="AG4" i="184"/>
  <c r="AH4" i="184" s="1"/>
  <c r="AI4" i="184" s="1"/>
  <c r="L4" i="184"/>
  <c r="AK11" i="184"/>
  <c r="AL11" i="184" s="1"/>
  <c r="J11" i="184" s="1"/>
  <c r="AG11" i="184"/>
  <c r="AH11" i="184" s="1"/>
  <c r="AI11" i="184" s="1"/>
  <c r="L11" i="184"/>
  <c r="AN14" i="184"/>
  <c r="AN15" i="184" s="1"/>
  <c r="AG10" i="184"/>
  <c r="AH10" i="184" s="1"/>
  <c r="AI10" i="184" s="1"/>
  <c r="J10" i="184" s="1"/>
  <c r="L10" i="184"/>
</calcChain>
</file>

<file path=xl/sharedStrings.xml><?xml version="1.0" encoding="utf-8"?>
<sst xmlns="http://schemas.openxmlformats.org/spreadsheetml/2006/main" count="143" uniqueCount="73">
  <si>
    <t xml:space="preserve">บาท </t>
  </si>
  <si>
    <t>เงินเดือน</t>
  </si>
  <si>
    <t>เงินตอบแทน</t>
  </si>
  <si>
    <t>บาท</t>
  </si>
  <si>
    <t>รวมเงินเดือน</t>
  </si>
  <si>
    <t>ฌาปนกิจ</t>
  </si>
  <si>
    <t>ค่าใช้จ่ายอื่นๆ</t>
  </si>
  <si>
    <t>คิดเป็น</t>
  </si>
  <si>
    <t xml:space="preserve"> %</t>
  </si>
  <si>
    <t>ค่างวด ธอส.</t>
  </si>
  <si>
    <t>เงินเต็มขั้นพิเศษ</t>
  </si>
  <si>
    <t>กบข/กสจ/ประกันสังคม</t>
  </si>
  <si>
    <t>ค่างวด ออมสิน</t>
  </si>
  <si>
    <t>งวด</t>
  </si>
  <si>
    <t>รายได้</t>
  </si>
  <si>
    <t>รายจ่าย</t>
  </si>
  <si>
    <t>ภาษี</t>
  </si>
  <si>
    <t>ค่าน้ำประปา</t>
  </si>
  <si>
    <t>ค่าไฟฟ้า</t>
  </si>
  <si>
    <t>ค่าขยะ</t>
  </si>
  <si>
    <t>สหกรณ์ออมทรัพย์ มข.</t>
  </si>
  <si>
    <t>ชพค.</t>
  </si>
  <si>
    <t>รวมรายจ่าย</t>
  </si>
  <si>
    <t>กยศ.</t>
  </si>
  <si>
    <t>ตามสลิปเงินเดือน</t>
  </si>
  <si>
    <t>เงินคงเหลือปัจจุบัน =</t>
  </si>
  <si>
    <t>ค่าหุ้น</t>
  </si>
  <si>
    <t>ค่างวดเงินกู้พิเศษ</t>
  </si>
  <si>
    <t>ค่างวดเงินกู้ฉุกเฉินทั่วไป</t>
  </si>
  <si>
    <t>ค่างวดเงินกู้เอื้ออาทร</t>
  </si>
  <si>
    <t>ค่างวดเงินกู้เพื่อพัฒนาคุณภาพชีวิต</t>
  </si>
  <si>
    <t>รวม</t>
  </si>
  <si>
    <t>เงินต้นคงเหลือปัจจุบัน</t>
  </si>
  <si>
    <t>ปี</t>
  </si>
  <si>
    <t>เดือน</t>
  </si>
  <si>
    <t>ท่านจะเกษียณอายุในปี พ.ศ.</t>
  </si>
  <si>
    <t>คงเหลือ %</t>
  </si>
  <si>
    <t>ดอก/ด</t>
  </si>
  <si>
    <t>ดอก/ป</t>
  </si>
  <si>
    <t>จำนวนงวด</t>
  </si>
  <si>
    <t>วงเงินสูงสุดของท่าน</t>
  </si>
  <si>
    <t>กู้ได้ประมาณไม่เกิน</t>
  </si>
  <si>
    <t>จำนวนงวดสมาชิกสหกรณ์</t>
  </si>
  <si>
    <t>ค่างวดเงินกู้สามัญ(หุ้นค้ำ)</t>
  </si>
  <si>
    <t>ค่างวดเงินกู้สามัญ(บุคคลค้ำระบบเดิม)</t>
  </si>
  <si>
    <t>1. สลิปเงินเดือน เดือนล่าสุด</t>
  </si>
  <si>
    <t>2. ใบเสร็จรับเงินจาก สหกรณ์ออมทรัพย์มหาวิทยาลัยขอนแก่น จำกัด เดือนเดียวกับข้อ 1</t>
  </si>
  <si>
    <t>**หมายเหตุ : โปรแกรมนี้พัฒนาขึ้นเพื่อให้สมาชิก สอ.มข. สามารถตรวจสอบยอดเงินกู้ได้เบื้องต้นเท่านั้น</t>
  </si>
  <si>
    <t>สมาชิกที่ต้องการยื่นกู้เงิน ต้องได้รับการตรวจสอบจากเจ้าหน้าที่สหกรณ์อีกครั้งหนึ่ง</t>
  </si>
  <si>
    <t>พัฒนาโปรแกรมโดย…อาจารย์พีระพงษ์ แพงไพรี และนางสาวสุนิชฎา ศรีวิชา</t>
  </si>
  <si>
    <t>***หากค่าครองชีพเหลือต่ำกว่า 31.5% ***</t>
  </si>
  <si>
    <t>***จะไม่ได้รับการอนุมัติให้กู้***</t>
  </si>
  <si>
    <t>เงินหุ้น</t>
  </si>
  <si>
    <t>ค่างวดเงินกู้สามัญ(บุคคลค้ำ)</t>
  </si>
  <si>
    <t>ค่างวดเงินกู้เพื่อการศึกษา</t>
  </si>
  <si>
    <t>เอกสารที่ต้องเตรียม</t>
  </si>
  <si>
    <t>ดอกเบี้ย%</t>
  </si>
  <si>
    <t>*เพิ่มคำนวณเงินกู้พิเศษ+หุ้น</t>
  </si>
  <si>
    <t>**หากต้องการตัดหนี้ใด ให้กรอกค่างวดนั้นๆเป็น 0</t>
  </si>
  <si>
    <t xml:space="preserve">ต้องการยกเว้นค่างวดออมสิน+ธอส จำนวน </t>
  </si>
  <si>
    <t>%</t>
  </si>
  <si>
    <t xml:space="preserve"> = คำนวณงวดออมสิน+ธอส ที่</t>
  </si>
  <si>
    <t>**กรอกข้อมูลในช่องสีฟ้าเท่านั้น**</t>
  </si>
  <si>
    <t>กรุณากรอกข้อมูลในช่องสีฟ้าเท่านั้น</t>
  </si>
  <si>
    <t>*เพิ่มการคำนวณแบบยกเว้น ชพค+ธอส</t>
  </si>
  <si>
    <t xml:space="preserve">ใส่ 0 </t>
  </si>
  <si>
    <t>หากไม่ยกเว้น</t>
  </si>
  <si>
    <t>โปรแกรมคำนวณเงินกู้ สหกรณ์ออมทรัพย์มหาวิทยาลัยขอนแก่น จำกัด ver.2.2</t>
  </si>
  <si>
    <t>ค่างวดเงินกู้ฉุกเฉินทั่วไป (12 งวด)</t>
  </si>
  <si>
    <t>* เพิ่มเงินกู้ฉุกเฉิน 12 งวด ดอกเบี้ยต่ำ</t>
  </si>
  <si>
    <t>เงินคงเหลือ</t>
  </si>
  <si>
    <t>ประมาณ</t>
  </si>
  <si>
    <t xml:space="preserve"> &lt;-ค่างวด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</si>
</sst>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฿&quot;#,##0.00;[Red]\-&quot;฿&quot;#,##0.00"/>
    <numFmt numFmtId="43" formatCode="_-* #,##0.00_-;\-* #,##0.00_-;_-* &quot;-&quot;??_-;_-@_-"/>
    <numFmt numFmtId="187" formatCode="_-* #,##0_-;\-* #,##0_-;_-* &quot;-&quot;??_-;_-@_-"/>
    <numFmt numFmtId="188" formatCode="_-* #,##0.00000_-;\-* #,##0.00000_-;_-* &quot;-&quot;??_-;_-@_-"/>
  </numFmts>
  <fonts count="2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24"/>
      <color theme="1"/>
      <name val="Tahoma"/>
      <family val="2"/>
      <scheme val="minor"/>
    </font>
    <font>
      <b/>
      <sz val="26"/>
      <color theme="1"/>
      <name val="Tahoma"/>
      <family val="2"/>
      <scheme val="minor"/>
    </font>
    <font>
      <b/>
      <sz val="24"/>
      <color rgb="FFC00000"/>
      <name val="Tahoma"/>
      <family val="2"/>
      <scheme val="minor"/>
    </font>
    <font>
      <b/>
      <sz val="24"/>
      <color rgb="FFFF0000"/>
      <name val="Tahoma"/>
      <family val="2"/>
      <scheme val="minor"/>
    </font>
    <font>
      <b/>
      <sz val="22"/>
      <color theme="0"/>
      <name val="Tahoma"/>
      <family val="2"/>
      <scheme val="minor"/>
    </font>
    <font>
      <b/>
      <sz val="16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b/>
      <sz val="14"/>
      <color rgb="FFC00000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  <font>
      <b/>
      <sz val="12"/>
      <name val="Tahoma"/>
      <family val="2"/>
      <scheme val="minor"/>
    </font>
    <font>
      <b/>
      <u/>
      <sz val="12"/>
      <name val="Tahoma"/>
      <family val="2"/>
      <scheme val="minor"/>
    </font>
    <font>
      <b/>
      <sz val="12"/>
      <color theme="0"/>
      <name val="Tahoma"/>
      <family val="2"/>
      <scheme val="minor"/>
    </font>
    <font>
      <b/>
      <sz val="12"/>
      <color rgb="FFFF0000"/>
      <name val="Tahoma"/>
      <family val="2"/>
      <scheme val="minor"/>
    </font>
    <font>
      <b/>
      <sz val="10"/>
      <color theme="1"/>
      <name val="Tahoma"/>
      <family val="2"/>
      <scheme val="minor"/>
    </font>
    <font>
      <b/>
      <sz val="18"/>
      <color rgb="FFFF0000"/>
      <name val="Tahoma"/>
      <family val="2"/>
      <scheme val="minor"/>
    </font>
    <font>
      <b/>
      <sz val="20"/>
      <color rgb="FFFF0000"/>
      <name val="Tahoma"/>
      <family val="2"/>
      <scheme val="minor"/>
    </font>
    <font>
      <b/>
      <sz val="16"/>
      <color theme="0"/>
      <name val="Tahoma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43" fontId="10" fillId="0" borderId="0" xfId="1" applyFont="1"/>
    <xf numFmtId="0" fontId="11" fillId="5" borderId="1" xfId="0" applyFont="1" applyFill="1" applyBorder="1"/>
    <xf numFmtId="0" fontId="11" fillId="5" borderId="3" xfId="0" applyFont="1" applyFill="1" applyBorder="1"/>
    <xf numFmtId="0" fontId="11" fillId="5" borderId="5" xfId="0" applyFont="1" applyFill="1" applyBorder="1"/>
    <xf numFmtId="0" fontId="11" fillId="0" borderId="0" xfId="0" applyFont="1"/>
    <xf numFmtId="0" fontId="12" fillId="5" borderId="6" xfId="0" applyFont="1" applyFill="1" applyBorder="1"/>
    <xf numFmtId="0" fontId="11" fillId="5" borderId="7" xfId="0" applyFont="1" applyFill="1" applyBorder="1"/>
    <xf numFmtId="0" fontId="11" fillId="5" borderId="6" xfId="0" applyFont="1" applyFill="1" applyBorder="1"/>
    <xf numFmtId="0" fontId="11" fillId="2" borderId="6" xfId="0" applyFont="1" applyFill="1" applyBorder="1"/>
    <xf numFmtId="0" fontId="11" fillId="2" borderId="7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43" fontId="11" fillId="2" borderId="4" xfId="0" applyNumberFormat="1" applyFont="1" applyFill="1" applyBorder="1"/>
    <xf numFmtId="0" fontId="11" fillId="2" borderId="5" xfId="0" applyFont="1" applyFill="1" applyBorder="1"/>
    <xf numFmtId="0" fontId="11" fillId="2" borderId="0" xfId="0" applyFont="1" applyFill="1" applyBorder="1"/>
    <xf numFmtId="43" fontId="11" fillId="2" borderId="0" xfId="1" applyFont="1" applyFill="1" applyBorder="1"/>
    <xf numFmtId="0" fontId="13" fillId="5" borderId="8" xfId="0" applyFont="1" applyFill="1" applyBorder="1"/>
    <xf numFmtId="43" fontId="12" fillId="5" borderId="10" xfId="1" applyFont="1" applyFill="1" applyBorder="1" applyAlignment="1">
      <alignment shrinkToFit="1"/>
    </xf>
    <xf numFmtId="0" fontId="12" fillId="5" borderId="11" xfId="0" applyFont="1" applyFill="1" applyBorder="1" applyAlignment="1">
      <alignment shrinkToFit="1"/>
    </xf>
    <xf numFmtId="0" fontId="11" fillId="2" borderId="0" xfId="0" applyFont="1" applyFill="1"/>
    <xf numFmtId="43" fontId="11" fillId="2" borderId="0" xfId="1" applyFont="1" applyFill="1"/>
    <xf numFmtId="14" fontId="11" fillId="0" borderId="0" xfId="0" applyNumberFormat="1" applyFont="1"/>
    <xf numFmtId="14" fontId="11" fillId="0" borderId="0" xfId="0" applyNumberFormat="1" applyFont="1" applyAlignment="1">
      <alignment horizontal="center"/>
    </xf>
    <xf numFmtId="43" fontId="11" fillId="0" borderId="0" xfId="1" applyFont="1" applyFill="1"/>
    <xf numFmtId="0" fontId="11" fillId="0" borderId="0" xfId="0" applyFont="1" applyFill="1"/>
    <xf numFmtId="187" fontId="11" fillId="0" borderId="0" xfId="1" applyNumberFormat="1" applyFont="1"/>
    <xf numFmtId="0" fontId="11" fillId="6" borderId="0" xfId="0" applyFont="1" applyFill="1"/>
    <xf numFmtId="43" fontId="11" fillId="0" borderId="0" xfId="1" applyFont="1"/>
    <xf numFmtId="0" fontId="11" fillId="0" borderId="0" xfId="0" applyFont="1" applyAlignment="1">
      <alignment horizontal="center"/>
    </xf>
    <xf numFmtId="43" fontId="11" fillId="0" borderId="0" xfId="0" applyNumberFormat="1" applyFont="1"/>
    <xf numFmtId="0" fontId="12" fillId="6" borderId="0" xfId="0" applyFont="1" applyFill="1" applyBorder="1"/>
    <xf numFmtId="43" fontId="11" fillId="0" borderId="0" xfId="1" applyFont="1" applyFill="1" applyBorder="1" applyAlignment="1">
      <alignment horizontal="center"/>
    </xf>
    <xf numFmtId="0" fontId="11" fillId="0" borderId="7" xfId="0" applyFont="1" applyBorder="1"/>
    <xf numFmtId="0" fontId="11" fillId="8" borderId="7" xfId="0" applyFont="1" applyFill="1" applyBorder="1"/>
    <xf numFmtId="0" fontId="11" fillId="0" borderId="0" xfId="0" applyFont="1" applyFill="1" applyBorder="1"/>
    <xf numFmtId="8" fontId="11" fillId="0" borderId="0" xfId="1" applyNumberFormat="1" applyFont="1"/>
    <xf numFmtId="0" fontId="11" fillId="0" borderId="0" xfId="0" quotePrefix="1" applyFont="1"/>
    <xf numFmtId="0" fontId="11" fillId="5" borderId="11" xfId="0" applyFont="1" applyFill="1" applyBorder="1"/>
    <xf numFmtId="0" fontId="11" fillId="8" borderId="11" xfId="0" applyFont="1" applyFill="1" applyBorder="1"/>
    <xf numFmtId="43" fontId="11" fillId="2" borderId="8" xfId="1" applyFont="1" applyFill="1" applyBorder="1"/>
    <xf numFmtId="0" fontId="11" fillId="2" borderId="11" xfId="0" applyFont="1" applyFill="1" applyBorder="1"/>
    <xf numFmtId="8" fontId="11" fillId="0" borderId="0" xfId="0" applyNumberFormat="1" applyFont="1"/>
    <xf numFmtId="8" fontId="11" fillId="2" borderId="0" xfId="0" applyNumberFormat="1" applyFont="1" applyFill="1"/>
    <xf numFmtId="0" fontId="11" fillId="8" borderId="5" xfId="0" applyFont="1" applyFill="1" applyBorder="1"/>
    <xf numFmtId="0" fontId="15" fillId="0" borderId="0" xfId="0" applyFont="1"/>
    <xf numFmtId="43" fontId="10" fillId="5" borderId="6" xfId="0" applyNumberFormat="1" applyFont="1" applyFill="1" applyBorder="1"/>
    <xf numFmtId="43" fontId="10" fillId="5" borderId="8" xfId="0" applyNumberFormat="1" applyFont="1" applyFill="1" applyBorder="1"/>
    <xf numFmtId="43" fontId="10" fillId="8" borderId="6" xfId="1" applyFont="1" applyFill="1" applyBorder="1"/>
    <xf numFmtId="43" fontId="10" fillId="8" borderId="8" xfId="1" applyFont="1" applyFill="1" applyBorder="1"/>
    <xf numFmtId="0" fontId="10" fillId="5" borderId="0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187" fontId="10" fillId="8" borderId="3" xfId="1" applyNumberFormat="1" applyFont="1" applyFill="1" applyBorder="1"/>
    <xf numFmtId="187" fontId="10" fillId="8" borderId="6" xfId="1" applyNumberFormat="1" applyFont="1" applyFill="1" applyBorder="1"/>
    <xf numFmtId="187" fontId="10" fillId="8" borderId="8" xfId="1" applyNumberFormat="1" applyFont="1" applyFill="1" applyBorder="1"/>
    <xf numFmtId="43" fontId="11" fillId="10" borderId="0" xfId="1" applyFont="1" applyFill="1"/>
    <xf numFmtId="43" fontId="10" fillId="3" borderId="15" xfId="1" applyFont="1" applyFill="1" applyBorder="1" applyProtection="1">
      <protection locked="0"/>
    </xf>
    <xf numFmtId="43" fontId="10" fillId="3" borderId="16" xfId="1" applyFont="1" applyFill="1" applyBorder="1" applyProtection="1">
      <protection locked="0"/>
    </xf>
    <xf numFmtId="43" fontId="10" fillId="3" borderId="17" xfId="1" applyFont="1" applyFill="1" applyBorder="1" applyProtection="1">
      <protection locked="0"/>
    </xf>
    <xf numFmtId="187" fontId="11" fillId="3" borderId="0" xfId="1" applyNumberFormat="1" applyFont="1" applyFill="1" applyProtection="1">
      <protection locked="0"/>
    </xf>
    <xf numFmtId="0" fontId="10" fillId="3" borderId="14" xfId="0" applyFont="1" applyFill="1" applyBorder="1" applyProtection="1">
      <protection locked="0"/>
    </xf>
    <xf numFmtId="0" fontId="11" fillId="10" borderId="12" xfId="0" applyFont="1" applyFill="1" applyBorder="1" applyAlignment="1">
      <alignment horizontal="center"/>
    </xf>
    <xf numFmtId="187" fontId="11" fillId="10" borderId="4" xfId="1" applyNumberFormat="1" applyFont="1" applyFill="1" applyBorder="1" applyAlignment="1"/>
    <xf numFmtId="43" fontId="17" fillId="0" borderId="0" xfId="1" applyFont="1"/>
    <xf numFmtId="0" fontId="18" fillId="10" borderId="0" xfId="0" applyFont="1" applyFill="1"/>
    <xf numFmtId="0" fontId="11" fillId="10" borderId="0" xfId="0" applyFont="1" applyFill="1"/>
    <xf numFmtId="0" fontId="11" fillId="10" borderId="2" xfId="0" applyFont="1" applyFill="1" applyBorder="1"/>
    <xf numFmtId="0" fontId="12" fillId="10" borderId="3" xfId="0" applyFont="1" applyFill="1" applyBorder="1"/>
    <xf numFmtId="0" fontId="12" fillId="10" borderId="6" xfId="0" applyFont="1" applyFill="1" applyBorder="1"/>
    <xf numFmtId="0" fontId="13" fillId="10" borderId="8" xfId="0" applyFont="1" applyFill="1" applyBorder="1"/>
    <xf numFmtId="0" fontId="12" fillId="10" borderId="5" xfId="0" applyFont="1" applyFill="1" applyBorder="1" applyAlignment="1">
      <alignment shrinkToFit="1"/>
    </xf>
    <xf numFmtId="0" fontId="12" fillId="10" borderId="7" xfId="0" applyFont="1" applyFill="1" applyBorder="1" applyAlignment="1">
      <alignment shrinkToFit="1"/>
    </xf>
    <xf numFmtId="0" fontId="12" fillId="10" borderId="11" xfId="0" applyFont="1" applyFill="1" applyBorder="1" applyAlignment="1">
      <alignment shrinkToFit="1"/>
    </xf>
    <xf numFmtId="43" fontId="12" fillId="10" borderId="10" xfId="0" applyNumberFormat="1" applyFont="1" applyFill="1" applyBorder="1" applyAlignment="1">
      <alignment shrinkToFit="1"/>
    </xf>
    <xf numFmtId="43" fontId="12" fillId="11" borderId="4" xfId="1" applyFont="1" applyFill="1" applyBorder="1" applyAlignment="1" applyProtection="1">
      <alignment shrinkToFit="1"/>
      <protection locked="0"/>
    </xf>
    <xf numFmtId="43" fontId="12" fillId="11" borderId="0" xfId="1" applyFont="1" applyFill="1" applyBorder="1" applyAlignment="1" applyProtection="1">
      <alignment shrinkToFit="1"/>
      <protection locked="0"/>
    </xf>
    <xf numFmtId="43" fontId="11" fillId="11" borderId="4" xfId="1" applyFont="1" applyFill="1" applyBorder="1" applyProtection="1">
      <protection locked="0"/>
    </xf>
    <xf numFmtId="43" fontId="11" fillId="11" borderId="0" xfId="1" applyFont="1" applyFill="1" applyBorder="1" applyProtection="1">
      <protection locked="0"/>
    </xf>
    <xf numFmtId="0" fontId="11" fillId="2" borderId="2" xfId="0" applyFont="1" applyFill="1" applyBorder="1"/>
    <xf numFmtId="43" fontId="11" fillId="11" borderId="12" xfId="1" applyFont="1" applyFill="1" applyBorder="1" applyProtection="1">
      <protection locked="0"/>
    </xf>
    <xf numFmtId="0" fontId="11" fillId="2" borderId="13" xfId="0" applyFont="1" applyFill="1" applyBorder="1"/>
    <xf numFmtId="187" fontId="15" fillId="2" borderId="0" xfId="1" applyNumberFormat="1" applyFont="1" applyFill="1"/>
    <xf numFmtId="10" fontId="11" fillId="3" borderId="18" xfId="2" applyNumberFormat="1" applyFont="1" applyFill="1" applyBorder="1" applyProtection="1">
      <protection locked="0"/>
    </xf>
    <xf numFmtId="10" fontId="11" fillId="3" borderId="19" xfId="2" applyNumberFormat="1" applyFont="1" applyFill="1" applyBorder="1" applyProtection="1">
      <protection locked="0"/>
    </xf>
    <xf numFmtId="0" fontId="16" fillId="12" borderId="1" xfId="0" applyFont="1" applyFill="1" applyBorder="1" applyAlignment="1"/>
    <xf numFmtId="188" fontId="11" fillId="0" borderId="0" xfId="1" applyNumberFormat="1" applyFont="1"/>
    <xf numFmtId="43" fontId="11" fillId="0" borderId="0" xfId="1" applyFont="1" applyFill="1" applyBorder="1" applyAlignment="1">
      <alignment horizontal="left"/>
    </xf>
    <xf numFmtId="0" fontId="6" fillId="9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9" fillId="4" borderId="5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43" fontId="11" fillId="10" borderId="0" xfId="1" applyFont="1" applyFill="1" applyAlignment="1">
      <alignment horizontal="center"/>
    </xf>
    <xf numFmtId="43" fontId="11" fillId="2" borderId="2" xfId="1" applyFont="1" applyFill="1" applyBorder="1" applyAlignment="1">
      <alignment horizontal="center"/>
    </xf>
    <xf numFmtId="43" fontId="11" fillId="2" borderId="13" xfId="1" applyFont="1" applyFill="1" applyBorder="1" applyAlignment="1">
      <alignment horizontal="center"/>
    </xf>
    <xf numFmtId="0" fontId="11" fillId="10" borderId="8" xfId="0" applyFont="1" applyFill="1" applyBorder="1" applyAlignment="1">
      <alignment horizontal="center"/>
    </xf>
    <xf numFmtId="0" fontId="11" fillId="10" borderId="13" xfId="0" applyFont="1" applyFill="1" applyBorder="1" applyAlignment="1">
      <alignment horizontal="center"/>
    </xf>
    <xf numFmtId="43" fontId="11" fillId="7" borderId="2" xfId="1" applyFont="1" applyFill="1" applyBorder="1" applyAlignment="1">
      <alignment horizontal="center"/>
    </xf>
    <xf numFmtId="43" fontId="11" fillId="7" borderId="12" xfId="1" applyFont="1" applyFill="1" applyBorder="1" applyAlignment="1">
      <alignment horizontal="center"/>
    </xf>
    <xf numFmtId="43" fontId="11" fillId="7" borderId="13" xfId="1" applyFont="1" applyFill="1" applyBorder="1" applyAlignment="1">
      <alignment horizontal="center"/>
    </xf>
    <xf numFmtId="43" fontId="11" fillId="0" borderId="0" xfId="1" applyFont="1" applyAlignment="1">
      <alignment horizontal="right"/>
    </xf>
    <xf numFmtId="43" fontId="11" fillId="0" borderId="20" xfId="1" applyFont="1" applyBorder="1" applyAlignment="1">
      <alignment horizontal="right"/>
    </xf>
    <xf numFmtId="43" fontId="11" fillId="0" borderId="9" xfId="1" applyFont="1" applyBorder="1" applyAlignment="1">
      <alignment horizontal="right"/>
    </xf>
    <xf numFmtId="43" fontId="11" fillId="0" borderId="21" xfId="1" applyFont="1" applyBorder="1" applyAlignment="1">
      <alignment horizontal="right"/>
    </xf>
    <xf numFmtId="187" fontId="15" fillId="2" borderId="4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508219</xdr:colOff>
      <xdr:row>3</xdr:row>
      <xdr:rowOff>57151</xdr:rowOff>
    </xdr:from>
    <xdr:to>
      <xdr:col>16</xdr:col>
      <xdr:colOff>1257300</xdr:colOff>
      <xdr:row>8</xdr:row>
      <xdr:rowOff>114301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7819" y="1057276"/>
          <a:ext cx="3492281" cy="1657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910563</xdr:colOff>
      <xdr:row>11</xdr:row>
      <xdr:rowOff>309960</xdr:rowOff>
    </xdr:from>
    <xdr:to>
      <xdr:col>6</xdr:col>
      <xdr:colOff>316045</xdr:colOff>
      <xdr:row>13</xdr:row>
      <xdr:rowOff>298336</xdr:rowOff>
    </xdr:to>
    <xdr:sp macro="" textlink="">
      <xdr:nvSpPr>
        <xdr:cNvPr id="2" name="Up Arrow 1"/>
        <xdr:cNvSpPr/>
      </xdr:nvSpPr>
      <xdr:spPr>
        <a:xfrm rot="18377236">
          <a:off x="4127491" y="2977365"/>
          <a:ext cx="623376" cy="1003566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259719</xdr:colOff>
      <xdr:row>12</xdr:row>
      <xdr:rowOff>15393</xdr:rowOff>
    </xdr:from>
    <xdr:to>
      <xdr:col>14</xdr:col>
      <xdr:colOff>270488</xdr:colOff>
      <xdr:row>13</xdr:row>
      <xdr:rowOff>75516</xdr:rowOff>
    </xdr:to>
    <xdr:sp macro="" textlink="">
      <xdr:nvSpPr>
        <xdr:cNvPr id="8" name="Up Arrow 7"/>
        <xdr:cNvSpPr/>
      </xdr:nvSpPr>
      <xdr:spPr>
        <a:xfrm rot="16031010">
          <a:off x="10977125" y="3172737"/>
          <a:ext cx="377623" cy="412936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1"/>
  <sheetViews>
    <sheetView showGridLines="0" showRowColHeaders="0" tabSelected="1" workbookViewId="0">
      <selection activeCell="G6" sqref="G6"/>
    </sheetView>
  </sheetViews>
  <sheetFormatPr defaultColWidth="0" defaultRowHeight="30" zeroHeight="1" x14ac:dyDescent="0.4"/>
  <cols>
    <col min="1" max="1" width="1.875" style="1" customWidth="1"/>
    <col min="2" max="16" width="9" style="1" customWidth="1"/>
    <col min="17" max="17" width="18.5" style="1" customWidth="1"/>
    <col min="18" max="16384" width="9" style="1" hidden="1"/>
  </cols>
  <sheetData>
    <row r="1" spans="2:16" ht="16.5" customHeight="1" x14ac:dyDescent="0.4"/>
    <row r="2" spans="2:16" x14ac:dyDescent="0.4">
      <c r="B2" s="95" t="s">
        <v>67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2:16" ht="32.25" x14ac:dyDescent="0.4">
      <c r="B3" s="53" t="s">
        <v>57</v>
      </c>
      <c r="E3" s="2"/>
      <c r="F3" s="96" t="s">
        <v>49</v>
      </c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2:16" ht="16.5" customHeight="1" x14ac:dyDescent="0.4">
      <c r="B4" s="53" t="s">
        <v>64</v>
      </c>
    </row>
    <row r="5" spans="2:16" ht="32.25" x14ac:dyDescent="0.4">
      <c r="B5" s="5" t="s">
        <v>55</v>
      </c>
      <c r="G5" s="53" t="s">
        <v>69</v>
      </c>
      <c r="H5" s="2"/>
    </row>
    <row r="6" spans="2:16" ht="32.25" x14ac:dyDescent="0.4">
      <c r="C6" s="6" t="s">
        <v>45</v>
      </c>
      <c r="H6" s="2"/>
    </row>
    <row r="7" spans="2:16" x14ac:dyDescent="0.4">
      <c r="C7" s="6" t="s">
        <v>46</v>
      </c>
    </row>
    <row r="8" spans="2:16" ht="15" customHeight="1" x14ac:dyDescent="0.4"/>
    <row r="9" spans="2:16" x14ac:dyDescent="0.4">
      <c r="B9" s="7" t="s">
        <v>47</v>
      </c>
      <c r="C9" s="3"/>
      <c r="D9" s="3"/>
    </row>
    <row r="10" spans="2:16" x14ac:dyDescent="0.4">
      <c r="B10" s="3"/>
      <c r="C10" s="3"/>
      <c r="D10" s="7" t="s">
        <v>48</v>
      </c>
    </row>
    <row r="11" spans="2:16" ht="38.25" customHeight="1" x14ac:dyDescent="0.4">
      <c r="E11" s="4"/>
    </row>
  </sheetData>
  <sheetProtection algorithmName="SHA-512" hashValue="jcuEvHIJ0Au4s33xCeBCp/KnOS2tx1LEh55vorfgImAdQ7vm3bmndmi0bP2oYKLqD69CMzs6n1avVsoJNXeWQw==" saltValue="WwiqfPyqP5ZJEvGCmRp2zg==" spinCount="100000" sheet="1" objects="1" scenarios="1" selectLockedCells="1" selectUnlockedCells="1"/>
  <mergeCells count="2">
    <mergeCell ref="B2:P2"/>
    <mergeCell ref="F3:P3"/>
  </mergeCells>
  <pageMargins left="0.25" right="0.25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FC14"/>
  <sheetViews>
    <sheetView showGridLines="0" showRowColHeaders="0" zoomScale="90" zoomScaleNormal="90" workbookViewId="0">
      <selection activeCell="H8" sqref="H8"/>
    </sheetView>
  </sheetViews>
  <sheetFormatPr defaultColWidth="0" defaultRowHeight="15" zeroHeight="1" x14ac:dyDescent="0.2"/>
  <cols>
    <col min="1" max="2" width="9" style="8" customWidth="1"/>
    <col min="3" max="3" width="18.75" style="8" bestFit="1" customWidth="1"/>
    <col min="4" max="4" width="19.625" style="8" bestFit="1" customWidth="1"/>
    <col min="5" max="5" width="6" style="8" bestFit="1" customWidth="1"/>
    <col min="6" max="6" width="9" style="8" customWidth="1"/>
    <col min="7" max="7" width="22.5" style="8" bestFit="1" customWidth="1"/>
    <col min="8" max="8" width="18.375" style="9" customWidth="1"/>
    <col min="9" max="9" width="9" style="8" customWidth="1"/>
    <col min="10" max="10" width="67.5" style="8" hidden="1" customWidth="1"/>
    <col min="11" max="16383" width="9" style="8" hidden="1"/>
    <col min="16384" max="16384" width="10.25" style="8" hidden="1"/>
  </cols>
  <sheetData>
    <row r="1" spans="2:10" ht="5.25" customHeight="1" thickBot="1" x14ac:dyDescent="0.25"/>
    <row r="2" spans="2:10" ht="24.95" customHeight="1" thickBot="1" x14ac:dyDescent="0.25">
      <c r="B2" s="74" t="s">
        <v>14</v>
      </c>
      <c r="C2" s="75" t="s">
        <v>1</v>
      </c>
      <c r="D2" s="82">
        <v>58390</v>
      </c>
      <c r="E2" s="78" t="s">
        <v>0</v>
      </c>
      <c r="F2" s="10" t="s">
        <v>15</v>
      </c>
      <c r="G2" s="11" t="s">
        <v>16</v>
      </c>
      <c r="H2" s="84">
        <v>2030.5</v>
      </c>
      <c r="I2" s="12" t="s">
        <v>3</v>
      </c>
      <c r="J2" s="13"/>
    </row>
    <row r="3" spans="2:10" ht="24.95" customHeight="1" x14ac:dyDescent="0.2">
      <c r="C3" s="76" t="s">
        <v>10</v>
      </c>
      <c r="D3" s="83">
        <v>0</v>
      </c>
      <c r="E3" s="79" t="s">
        <v>3</v>
      </c>
      <c r="F3" s="13"/>
      <c r="G3" s="14" t="s">
        <v>11</v>
      </c>
      <c r="H3" s="85">
        <v>1751.7</v>
      </c>
      <c r="I3" s="15" t="s">
        <v>3</v>
      </c>
      <c r="J3" s="13"/>
    </row>
    <row r="4" spans="2:10" ht="24.95" customHeight="1" x14ac:dyDescent="0.2">
      <c r="C4" s="76" t="s">
        <v>2</v>
      </c>
      <c r="D4" s="83">
        <v>0</v>
      </c>
      <c r="E4" s="79" t="s">
        <v>3</v>
      </c>
      <c r="F4" s="13"/>
      <c r="G4" s="16" t="s">
        <v>17</v>
      </c>
      <c r="H4" s="85">
        <v>212.5</v>
      </c>
      <c r="I4" s="15" t="s">
        <v>3</v>
      </c>
      <c r="J4" s="13"/>
    </row>
    <row r="5" spans="2:10" ht="24.95" customHeight="1" thickBot="1" x14ac:dyDescent="0.25">
      <c r="C5" s="77" t="s">
        <v>4</v>
      </c>
      <c r="D5" s="81">
        <f>SUM(D2:D4)</f>
        <v>58390</v>
      </c>
      <c r="E5" s="80" t="s">
        <v>3</v>
      </c>
      <c r="F5" s="13"/>
      <c r="G5" s="16" t="s">
        <v>18</v>
      </c>
      <c r="H5" s="85">
        <v>687.95</v>
      </c>
      <c r="I5" s="15" t="s">
        <v>3</v>
      </c>
      <c r="J5" s="13"/>
    </row>
    <row r="6" spans="2:10" ht="24.95" customHeight="1" thickBot="1" x14ac:dyDescent="0.25">
      <c r="F6" s="13"/>
      <c r="G6" s="16" t="s">
        <v>19</v>
      </c>
      <c r="H6" s="85">
        <v>20</v>
      </c>
      <c r="I6" s="15" t="s">
        <v>3</v>
      </c>
      <c r="J6" s="13"/>
    </row>
    <row r="7" spans="2:10" ht="24.95" customHeight="1" thickBot="1" x14ac:dyDescent="0.3">
      <c r="B7" s="97" t="s">
        <v>63</v>
      </c>
      <c r="C7" s="98"/>
      <c r="D7" s="99"/>
      <c r="F7" s="13"/>
      <c r="G7" s="16" t="s">
        <v>23</v>
      </c>
      <c r="H7" s="85">
        <v>0</v>
      </c>
      <c r="I7" s="15" t="s">
        <v>3</v>
      </c>
      <c r="J7" s="13"/>
    </row>
    <row r="8" spans="2:10" ht="24.95" customHeight="1" thickBot="1" x14ac:dyDescent="0.3">
      <c r="B8" s="100" t="s">
        <v>24</v>
      </c>
      <c r="C8" s="101"/>
      <c r="D8" s="102"/>
      <c r="F8" s="13"/>
      <c r="G8" s="86" t="s">
        <v>20</v>
      </c>
      <c r="H8" s="87">
        <v>24690</v>
      </c>
      <c r="I8" s="88" t="s">
        <v>3</v>
      </c>
      <c r="J8" s="13"/>
    </row>
    <row r="9" spans="2:10" ht="24.95" customHeight="1" thickBot="1" x14ac:dyDescent="0.25">
      <c r="B9" s="103"/>
      <c r="C9" s="104"/>
      <c r="D9" s="105"/>
      <c r="F9" s="13"/>
      <c r="G9" s="16" t="s">
        <v>21</v>
      </c>
      <c r="H9" s="85">
        <v>625</v>
      </c>
      <c r="I9" s="15" t="s">
        <v>3</v>
      </c>
      <c r="J9" s="13"/>
    </row>
    <row r="10" spans="2:10" ht="24.95" customHeight="1" thickBot="1" x14ac:dyDescent="0.25">
      <c r="F10" s="13"/>
      <c r="G10" s="14" t="s">
        <v>12</v>
      </c>
      <c r="H10" s="85">
        <v>7500</v>
      </c>
      <c r="I10" s="15" t="s">
        <v>3</v>
      </c>
      <c r="J10" s="13"/>
    </row>
    <row r="11" spans="2:10" ht="24.95" customHeight="1" x14ac:dyDescent="0.2">
      <c r="B11" s="19" t="s">
        <v>25</v>
      </c>
      <c r="C11" s="20"/>
      <c r="D11" s="21">
        <f>D5-H13</f>
        <v>20872.349999999999</v>
      </c>
      <c r="E11" s="22" t="s">
        <v>3</v>
      </c>
      <c r="F11" s="13"/>
      <c r="G11" s="14" t="s">
        <v>9</v>
      </c>
      <c r="H11" s="85">
        <v>0</v>
      </c>
      <c r="I11" s="15" t="s">
        <v>3</v>
      </c>
      <c r="J11" s="13"/>
    </row>
    <row r="12" spans="2:10" ht="24.95" customHeight="1" thickBot="1" x14ac:dyDescent="0.25">
      <c r="B12" s="17"/>
      <c r="C12" s="23" t="s">
        <v>7</v>
      </c>
      <c r="D12" s="24">
        <f>D11/D5*100</f>
        <v>35.746446309299536</v>
      </c>
      <c r="E12" s="18" t="s">
        <v>8</v>
      </c>
      <c r="F12" s="13"/>
      <c r="G12" s="14" t="s">
        <v>6</v>
      </c>
      <c r="H12" s="85">
        <v>0</v>
      </c>
      <c r="I12" s="15" t="s">
        <v>3</v>
      </c>
      <c r="J12" s="13"/>
    </row>
    <row r="13" spans="2:10" ht="24.95" customHeight="1" thickBot="1" x14ac:dyDescent="0.25">
      <c r="B13" s="106" t="s">
        <v>50</v>
      </c>
      <c r="C13" s="107"/>
      <c r="D13" s="107"/>
      <c r="E13" s="108"/>
      <c r="F13" s="13"/>
      <c r="G13" s="25" t="s">
        <v>22</v>
      </c>
      <c r="H13" s="26">
        <f>SUM(H2:H12)</f>
        <v>37517.65</v>
      </c>
      <c r="I13" s="27" t="s">
        <v>3</v>
      </c>
      <c r="J13" s="13"/>
    </row>
    <row r="14" spans="2:10" ht="24.95" customHeight="1" thickBot="1" x14ac:dyDescent="0.25">
      <c r="B14" s="109" t="s">
        <v>51</v>
      </c>
      <c r="C14" s="110"/>
      <c r="D14" s="110"/>
      <c r="E14" s="111"/>
    </row>
  </sheetData>
  <sheetProtection algorithmName="SHA-512" hashValue="tO1FaGBENvjn+Jnlt2hQKx0EWIjcyeVg3Fi38q06M4UKHxAAJaRaimKk33rSnbf0vY7XtEZWGgx4H7WioupH9w==" saltValue="bEvXjd1xLEuB2ot+UJdAhA==" spinCount="100000" sheet="1" objects="1" scenarios="1" selectLockedCells="1"/>
  <mergeCells count="5">
    <mergeCell ref="B7:D7"/>
    <mergeCell ref="B8:D8"/>
    <mergeCell ref="B9:D9"/>
    <mergeCell ref="B13:E13"/>
    <mergeCell ref="B14:E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O20"/>
  <sheetViews>
    <sheetView showGridLines="0" showRowColHeaders="0" zoomScale="90" zoomScaleNormal="90" workbookViewId="0">
      <selection activeCell="J1" sqref="J1"/>
    </sheetView>
  </sheetViews>
  <sheetFormatPr defaultColWidth="0" defaultRowHeight="24.95" customHeight="1" zeroHeight="1" x14ac:dyDescent="0.2"/>
  <cols>
    <col min="1" max="1" width="2.625" style="13" customWidth="1"/>
    <col min="2" max="2" width="4.75" style="13" customWidth="1"/>
    <col min="3" max="3" width="32.375" style="13" customWidth="1"/>
    <col min="4" max="4" width="15" style="36" customWidth="1"/>
    <col min="5" max="5" width="5.125" style="13" bestFit="1" customWidth="1"/>
    <col min="6" max="6" width="0.875" style="13" customWidth="1"/>
    <col min="7" max="7" width="16.125" style="36" customWidth="1"/>
    <col min="8" max="8" width="9" style="13" customWidth="1"/>
    <col min="9" max="9" width="8.75" style="13" customWidth="1"/>
    <col min="10" max="10" width="16.125" style="13" customWidth="1"/>
    <col min="11" max="11" width="5.75" style="13" customWidth="1"/>
    <col min="12" max="12" width="7.625" style="37" customWidth="1"/>
    <col min="13" max="13" width="16.375" style="36" customWidth="1"/>
    <col min="14" max="14" width="5.25" style="13" bestFit="1" customWidth="1"/>
    <col min="15" max="15" width="7.875" style="34" customWidth="1"/>
    <col min="16" max="16" width="4.875" style="13" bestFit="1" customWidth="1"/>
    <col min="17" max="17" width="2.5" style="33" customWidth="1"/>
    <col min="18" max="18" width="12.375" style="33" hidden="1"/>
    <col min="19" max="27" width="4.875" style="33" hidden="1"/>
    <col min="28" max="28" width="11.75" style="13" hidden="1"/>
    <col min="29" max="29" width="12.875" style="13" hidden="1"/>
    <col min="30" max="30" width="12.625" style="13" hidden="1"/>
    <col min="31" max="31" width="11" style="93" hidden="1"/>
    <col min="32" max="32" width="11.625" style="13" hidden="1"/>
    <col min="33" max="33" width="11" style="93" hidden="1"/>
    <col min="34" max="34" width="13.875" style="93" hidden="1"/>
    <col min="35" max="35" width="16.125" style="13" hidden="1"/>
    <col min="36" max="37" width="12.625" style="13" hidden="1"/>
    <col min="38" max="38" width="17.125" style="13" hidden="1"/>
    <col min="39" max="39" width="9" style="13" hidden="1"/>
    <col min="40" max="40" width="14" style="13" hidden="1"/>
    <col min="41" max="41" width="0" style="13" hidden="1"/>
    <col min="42" max="16384" width="9" style="13" hidden="1"/>
  </cols>
  <sheetData>
    <row r="1" spans="2:41" ht="24.95" customHeight="1" thickBot="1" x14ac:dyDescent="0.25">
      <c r="B1" s="28" t="str">
        <f>"รายการเรียกเก็บ"&amp;'1.กรอกข้อมูลสลิปเงินเดือน'!G8</f>
        <v>รายการเรียกเก็บสหกรณ์ออมทรัพย์ มข.</v>
      </c>
      <c r="C1" s="28"/>
      <c r="D1" s="29">
        <f>'1.กรอกข้อมูลสลิปเงินเดือน'!H8</f>
        <v>24690</v>
      </c>
      <c r="E1" s="28" t="str">
        <f>'1.กรอกข้อมูลสลิปเงินเดือน'!I8</f>
        <v>บาท</v>
      </c>
      <c r="G1" s="120" t="s">
        <v>35</v>
      </c>
      <c r="H1" s="120"/>
      <c r="I1" s="121"/>
      <c r="J1" s="68">
        <f>2511+61</f>
        <v>2572</v>
      </c>
      <c r="K1" s="30"/>
      <c r="L1" s="31"/>
      <c r="M1" s="32"/>
      <c r="N1" s="33"/>
      <c r="P1" s="33"/>
      <c r="AC1" s="13">
        <f ca="1">AN11</f>
        <v>114</v>
      </c>
      <c r="AN1" s="30">
        <f ca="1">TODAY()</f>
        <v>43900</v>
      </c>
    </row>
    <row r="2" spans="2:41" ht="24.95" customHeight="1" thickBot="1" x14ac:dyDescent="0.25">
      <c r="B2" s="35">
        <v>1</v>
      </c>
      <c r="C2" s="35" t="s">
        <v>26</v>
      </c>
      <c r="D2" s="64">
        <v>1200</v>
      </c>
      <c r="E2" s="35" t="s">
        <v>3</v>
      </c>
      <c r="G2" s="122" t="s">
        <v>42</v>
      </c>
      <c r="H2" s="122"/>
      <c r="I2" s="123"/>
      <c r="J2" s="68">
        <v>284</v>
      </c>
      <c r="K2" s="13" t="s">
        <v>13</v>
      </c>
      <c r="L2" s="37" t="s">
        <v>52</v>
      </c>
      <c r="M2" s="64">
        <v>339860</v>
      </c>
      <c r="N2" s="13" t="s">
        <v>3</v>
      </c>
      <c r="R2" s="33" t="s">
        <v>70</v>
      </c>
      <c r="AC2" s="38">
        <f>D2</f>
        <v>1200</v>
      </c>
      <c r="AN2" s="13">
        <f ca="1">YEAR(AN1)</f>
        <v>2020</v>
      </c>
    </row>
    <row r="3" spans="2:41" ht="24.95" customHeight="1" thickBot="1" x14ac:dyDescent="0.25">
      <c r="B3" s="35">
        <v>2</v>
      </c>
      <c r="C3" s="39" t="s">
        <v>5</v>
      </c>
      <c r="D3" s="65">
        <v>90</v>
      </c>
      <c r="E3" s="35" t="s">
        <v>3</v>
      </c>
      <c r="G3" s="113" t="s">
        <v>32</v>
      </c>
      <c r="H3" s="114"/>
      <c r="I3" s="92" t="s">
        <v>56</v>
      </c>
      <c r="J3" s="115" t="s">
        <v>41</v>
      </c>
      <c r="K3" s="116"/>
      <c r="L3" s="69" t="s">
        <v>13</v>
      </c>
      <c r="M3" s="117" t="s">
        <v>40</v>
      </c>
      <c r="N3" s="118"/>
      <c r="O3" s="118"/>
      <c r="P3" s="119"/>
      <c r="Q3" s="40"/>
      <c r="R3" s="94" t="s">
        <v>71</v>
      </c>
      <c r="S3" s="40"/>
      <c r="T3" s="40"/>
      <c r="U3" s="40"/>
      <c r="V3" s="40"/>
      <c r="W3" s="40"/>
      <c r="X3" s="40"/>
      <c r="Y3" s="40"/>
      <c r="Z3" s="40"/>
      <c r="AA3" s="40"/>
      <c r="AC3" s="38">
        <v>90</v>
      </c>
      <c r="AD3" s="13" t="s">
        <v>38</v>
      </c>
      <c r="AE3" s="93" t="s">
        <v>37</v>
      </c>
      <c r="AF3" s="13" t="s">
        <v>39</v>
      </c>
      <c r="AN3" s="13">
        <f ca="1">AN2+543</f>
        <v>2563</v>
      </c>
    </row>
    <row r="4" spans="2:41" ht="24.95" customHeight="1" x14ac:dyDescent="0.2">
      <c r="B4" s="35">
        <v>3</v>
      </c>
      <c r="C4" s="35" t="s">
        <v>27</v>
      </c>
      <c r="D4" s="65">
        <v>23400</v>
      </c>
      <c r="E4" s="35" t="s">
        <v>3</v>
      </c>
      <c r="G4" s="65">
        <v>2009669.5</v>
      </c>
      <c r="H4" s="41" t="s">
        <v>3</v>
      </c>
      <c r="I4" s="90">
        <v>5.2499999999999998E-2</v>
      </c>
      <c r="J4" s="54">
        <f ca="1">IF(O4=0,0,IF(AL4&gt;0,IF(AL4&gt;M4,M4,AL4),0))</f>
        <v>2282854.1707945741</v>
      </c>
      <c r="K4" s="15" t="s">
        <v>3</v>
      </c>
      <c r="L4" s="58">
        <f t="shared" ref="L4:L12" ca="1" si="0">AF4</f>
        <v>114</v>
      </c>
      <c r="M4" s="56">
        <f>IF(J2&gt;3,5000000,0)</f>
        <v>5000000</v>
      </c>
      <c r="N4" s="42" t="s">
        <v>3</v>
      </c>
      <c r="O4" s="60">
        <f>IF(J2&gt;3,240,0)</f>
        <v>240</v>
      </c>
      <c r="P4" s="52" t="s">
        <v>13</v>
      </c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13">
        <f t="shared" ref="AB4:AB12" si="1">IF(G4&gt;D4,1,0)</f>
        <v>1</v>
      </c>
      <c r="AC4" s="38">
        <f t="shared" ref="AC4:AC12" si="2">AB4*D4</f>
        <v>23400</v>
      </c>
      <c r="AD4" s="36">
        <f>I4*100</f>
        <v>5.25</v>
      </c>
      <c r="AE4" s="93">
        <f>AD4/100*31/365</f>
        <v>4.4589041095890406E-3</v>
      </c>
      <c r="AF4" s="13">
        <f ca="1">IF($AC$1&gt;O4,O4,$AC$1)</f>
        <v>114</v>
      </c>
      <c r="AG4" s="93">
        <f t="shared" ref="AG4:AG12" ca="1" si="3">1/AF4</f>
        <v>8.771929824561403E-3</v>
      </c>
      <c r="AH4" s="93">
        <f t="shared" ref="AH4:AH12" ca="1" si="4">AG4+AE4</f>
        <v>1.3230833934150444E-2</v>
      </c>
      <c r="AI4" s="38">
        <f t="shared" ref="AI4:AI12" ca="1" si="5">AJ4/AH4</f>
        <v>1933933.2749053191</v>
      </c>
      <c r="AJ4" s="36">
        <f t="shared" ref="AJ4:AJ12" si="6">IF(AB4=1,$AD$16+D4,$AD$16)</f>
        <v>25587.549999999996</v>
      </c>
      <c r="AK4" s="44">
        <f ca="1">PMT(AD4/100/365*31,AF4,-100000)</f>
        <v>1120.8578422288774</v>
      </c>
      <c r="AL4" s="36">
        <f ca="1">AJ4/AK4*100000</f>
        <v>2282854.1707945741</v>
      </c>
      <c r="AN4" s="13">
        <f ca="1">MONTH(AN1)</f>
        <v>3</v>
      </c>
    </row>
    <row r="5" spans="2:41" ht="24.95" customHeight="1" x14ac:dyDescent="0.2">
      <c r="B5" s="35">
        <v>4</v>
      </c>
      <c r="C5" s="35" t="s">
        <v>43</v>
      </c>
      <c r="D5" s="65">
        <v>0</v>
      </c>
      <c r="E5" s="35" t="s">
        <v>3</v>
      </c>
      <c r="G5" s="65">
        <v>0</v>
      </c>
      <c r="H5" s="41" t="s">
        <v>3</v>
      </c>
      <c r="I5" s="90">
        <v>5.2499999999999998E-2</v>
      </c>
      <c r="J5" s="54">
        <f>IF(G13&gt;M2,0,((M2-G13)*0.9))</f>
        <v>0</v>
      </c>
      <c r="K5" s="15" t="s">
        <v>3</v>
      </c>
      <c r="L5" s="58">
        <f ca="1">AF5</f>
        <v>114</v>
      </c>
      <c r="M5" s="56">
        <f>IF(G13&gt;M2,0,M2*0.9)</f>
        <v>0</v>
      </c>
      <c r="N5" s="42" t="s">
        <v>3</v>
      </c>
      <c r="O5" s="61">
        <v>180</v>
      </c>
      <c r="P5" s="42" t="s">
        <v>13</v>
      </c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13">
        <f t="shared" si="1"/>
        <v>0</v>
      </c>
      <c r="AC5" s="38">
        <f t="shared" si="2"/>
        <v>0</v>
      </c>
      <c r="AD5" s="36">
        <f t="shared" ref="AD5:AD12" si="7">I5*100</f>
        <v>5.25</v>
      </c>
      <c r="AE5" s="93">
        <f>AD5/100*31/365</f>
        <v>4.4589041095890406E-3</v>
      </c>
      <c r="AF5" s="13">
        <f ca="1">IF($AC$1&gt;O5,O5,$AC$1)</f>
        <v>114</v>
      </c>
      <c r="AG5" s="93">
        <f t="shared" ca="1" si="3"/>
        <v>8.771929824561403E-3</v>
      </c>
      <c r="AH5" s="93">
        <f t="shared" ca="1" si="4"/>
        <v>1.3230833934150444E-2</v>
      </c>
      <c r="AI5" s="38">
        <f t="shared" ca="1" si="5"/>
        <v>165337.27283460603</v>
      </c>
      <c r="AJ5" s="36">
        <f t="shared" si="6"/>
        <v>2187.5499999999956</v>
      </c>
      <c r="AK5" s="36"/>
      <c r="AL5" s="36"/>
      <c r="AN5" s="13">
        <f ca="1">J1-AN3</f>
        <v>9</v>
      </c>
      <c r="AO5" s="13" t="s">
        <v>33</v>
      </c>
    </row>
    <row r="6" spans="2:41" ht="24.95" hidden="1" customHeight="1" x14ac:dyDescent="0.2">
      <c r="B6" s="35">
        <v>5</v>
      </c>
      <c r="C6" s="35" t="s">
        <v>44</v>
      </c>
      <c r="D6" s="65">
        <v>0</v>
      </c>
      <c r="E6" s="35" t="s">
        <v>3</v>
      </c>
      <c r="G6" s="65">
        <v>0</v>
      </c>
      <c r="H6" s="41" t="s">
        <v>3</v>
      </c>
      <c r="I6" s="90">
        <v>6.1499999999999999E-2</v>
      </c>
      <c r="J6" s="54">
        <f ca="1">IF(AI6&gt;0,IF(AI6&gt;M6,M6,AI6),0)</f>
        <v>158211.73152799232</v>
      </c>
      <c r="K6" s="15" t="s">
        <v>3</v>
      </c>
      <c r="L6" s="58">
        <f t="shared" ca="1" si="0"/>
        <v>114</v>
      </c>
      <c r="M6" s="56">
        <v>1500000</v>
      </c>
      <c r="N6" s="42" t="s">
        <v>3</v>
      </c>
      <c r="O6" s="61">
        <f>IF($J$2&gt;3,240,0)</f>
        <v>240</v>
      </c>
      <c r="P6" s="42" t="s">
        <v>13</v>
      </c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13">
        <f t="shared" si="1"/>
        <v>0</v>
      </c>
      <c r="AC6" s="38">
        <f t="shared" si="2"/>
        <v>0</v>
      </c>
      <c r="AD6" s="36">
        <f t="shared" si="7"/>
        <v>6.15</v>
      </c>
      <c r="AE6" s="93">
        <f>AD6/100*30/365</f>
        <v>5.0547945205479455E-3</v>
      </c>
      <c r="AF6" s="13">
        <f t="shared" ref="AF6:AF12" ca="1" si="8">IF($AC$1&gt;O6,O6,$AC$1)</f>
        <v>114</v>
      </c>
      <c r="AG6" s="93">
        <f t="shared" ca="1" si="3"/>
        <v>8.771929824561403E-3</v>
      </c>
      <c r="AH6" s="93">
        <f t="shared" ca="1" si="4"/>
        <v>1.3826724345109349E-2</v>
      </c>
      <c r="AI6" s="38">
        <f t="shared" ca="1" si="5"/>
        <v>158211.73152799232</v>
      </c>
      <c r="AJ6" s="36">
        <f t="shared" si="6"/>
        <v>2187.5499999999956</v>
      </c>
      <c r="AK6" s="36"/>
      <c r="AL6" s="36"/>
    </row>
    <row r="7" spans="2:41" ht="24.95" customHeight="1" x14ac:dyDescent="0.2">
      <c r="B7" s="35">
        <v>5</v>
      </c>
      <c r="C7" s="35" t="s">
        <v>53</v>
      </c>
      <c r="D7" s="65">
        <v>0</v>
      </c>
      <c r="E7" s="35" t="s">
        <v>3</v>
      </c>
      <c r="G7" s="65">
        <v>0</v>
      </c>
      <c r="H7" s="41" t="s">
        <v>3</v>
      </c>
      <c r="I7" s="90">
        <v>5.5E-2</v>
      </c>
      <c r="J7" s="54">
        <f ca="1">IF(O7=0,0,IF(AI7&gt;0,IF(AI7&gt;M7,M7,AI7),0))</f>
        <v>162725.84425335613</v>
      </c>
      <c r="K7" s="15" t="s">
        <v>3</v>
      </c>
      <c r="L7" s="58">
        <f t="shared" ca="1" si="0"/>
        <v>114</v>
      </c>
      <c r="M7" s="56">
        <f>IF(J2&gt;60,3000000,IF(J2&gt;36,1000000,IF(J2&gt;12,600000,IF(J2&gt;3,400000,0))))</f>
        <v>3000000</v>
      </c>
      <c r="N7" s="42" t="s">
        <v>3</v>
      </c>
      <c r="O7" s="61">
        <f>IF($J$2&gt;3,240,0)</f>
        <v>240</v>
      </c>
      <c r="P7" s="42" t="s">
        <v>13</v>
      </c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13">
        <f t="shared" si="1"/>
        <v>0</v>
      </c>
      <c r="AC7" s="38">
        <f t="shared" si="2"/>
        <v>0</v>
      </c>
      <c r="AD7" s="36">
        <f t="shared" si="7"/>
        <v>5.5</v>
      </c>
      <c r="AE7" s="93">
        <f t="shared" ref="AE7:AE12" si="9">AD7/100*31/365</f>
        <v>4.6712328767123286E-3</v>
      </c>
      <c r="AF7" s="13">
        <f t="shared" ca="1" si="8"/>
        <v>114</v>
      </c>
      <c r="AG7" s="93">
        <f t="shared" ca="1" si="3"/>
        <v>8.771929824561403E-3</v>
      </c>
      <c r="AH7" s="93">
        <f t="shared" ca="1" si="4"/>
        <v>1.3443162701273732E-2</v>
      </c>
      <c r="AI7" s="38">
        <f t="shared" ca="1" si="5"/>
        <v>162725.84425335613</v>
      </c>
      <c r="AJ7" s="36">
        <f t="shared" si="6"/>
        <v>2187.5499999999956</v>
      </c>
      <c r="AK7" s="36"/>
      <c r="AL7" s="36"/>
    </row>
    <row r="8" spans="2:41" ht="24.95" customHeight="1" x14ac:dyDescent="0.2">
      <c r="B8" s="35">
        <v>6.1</v>
      </c>
      <c r="C8" s="35" t="s">
        <v>28</v>
      </c>
      <c r="D8" s="65">
        <v>0</v>
      </c>
      <c r="E8" s="35" t="s">
        <v>3</v>
      </c>
      <c r="G8" s="65">
        <v>0</v>
      </c>
      <c r="H8" s="41" t="s">
        <v>3</v>
      </c>
      <c r="I8" s="90">
        <v>0.06</v>
      </c>
      <c r="J8" s="54">
        <f ca="1">IF(O8=0,0,IF(AI8&gt;0,IF(AI8&gt;M8,M8,AI8),0))</f>
        <v>84366.197059082333</v>
      </c>
      <c r="K8" s="15" t="s">
        <v>3</v>
      </c>
      <c r="L8" s="58">
        <f t="shared" ca="1" si="0"/>
        <v>48</v>
      </c>
      <c r="M8" s="56">
        <f>IF($J$2&gt;36,100000,IF($J$2&gt;12,60000,IF($J$2&gt;6,40000,0)))</f>
        <v>100000</v>
      </c>
      <c r="N8" s="42" t="s">
        <v>3</v>
      </c>
      <c r="O8" s="61">
        <f>IF($J$2&gt;36,48,IF($J$2&gt;12,36,IF($J$2&gt;6,24,0)))</f>
        <v>48</v>
      </c>
      <c r="P8" s="42" t="s">
        <v>13</v>
      </c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13">
        <f t="shared" si="1"/>
        <v>0</v>
      </c>
      <c r="AC8" s="38">
        <f t="shared" si="2"/>
        <v>0</v>
      </c>
      <c r="AD8" s="36">
        <f t="shared" si="7"/>
        <v>6</v>
      </c>
      <c r="AE8" s="93">
        <f t="shared" si="9"/>
        <v>5.0958904109589037E-3</v>
      </c>
      <c r="AF8" s="13">
        <f t="shared" ca="1" si="8"/>
        <v>48</v>
      </c>
      <c r="AG8" s="93">
        <f t="shared" ca="1" si="3"/>
        <v>2.0833333333333332E-2</v>
      </c>
      <c r="AH8" s="93">
        <f t="shared" ca="1" si="4"/>
        <v>2.5929223744292237E-2</v>
      </c>
      <c r="AI8" s="38">
        <f t="shared" ca="1" si="5"/>
        <v>84366.197059082333</v>
      </c>
      <c r="AJ8" s="36">
        <f t="shared" si="6"/>
        <v>2187.5499999999956</v>
      </c>
      <c r="AK8" s="36"/>
      <c r="AL8" s="36"/>
      <c r="AN8" s="13">
        <f ca="1">9-AN4</f>
        <v>6</v>
      </c>
      <c r="AO8" s="13" t="s">
        <v>34</v>
      </c>
    </row>
    <row r="9" spans="2:41" ht="24.95" customHeight="1" x14ac:dyDescent="0.2">
      <c r="B9" s="35">
        <v>6.2</v>
      </c>
      <c r="C9" s="35" t="s">
        <v>68</v>
      </c>
      <c r="D9" s="65">
        <v>0</v>
      </c>
      <c r="E9" s="35" t="s">
        <v>3</v>
      </c>
      <c r="G9" s="65">
        <v>0</v>
      </c>
      <c r="H9" s="41" t="s">
        <v>3</v>
      </c>
      <c r="I9" s="90">
        <v>5.7500000000000002E-2</v>
      </c>
      <c r="J9" s="54">
        <f ca="1">IF(O9=0,0,IF(AI9&gt;0,IF(AI9&gt;M9,M9,AI9),0))</f>
        <v>24797.404177126689</v>
      </c>
      <c r="K9" s="15" t="s">
        <v>3</v>
      </c>
      <c r="L9" s="58">
        <f t="shared" ca="1" si="0"/>
        <v>12</v>
      </c>
      <c r="M9" s="56">
        <f>IF($J$2&gt;36,100000,IF($J$2&gt;12,60000,IF($J$2&gt;6,40000,0)))</f>
        <v>100000</v>
      </c>
      <c r="N9" s="42" t="s">
        <v>3</v>
      </c>
      <c r="O9" s="61">
        <f>IF(J2&gt;6,12,0)</f>
        <v>12</v>
      </c>
      <c r="P9" s="42" t="s">
        <v>13</v>
      </c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13">
        <f t="shared" si="1"/>
        <v>0</v>
      </c>
      <c r="AC9" s="38">
        <f t="shared" si="2"/>
        <v>0</v>
      </c>
      <c r="AD9" s="36">
        <f t="shared" si="7"/>
        <v>5.75</v>
      </c>
      <c r="AE9" s="93">
        <f t="shared" si="9"/>
        <v>4.8835616438356166E-3</v>
      </c>
      <c r="AF9" s="13">
        <f t="shared" ca="1" si="8"/>
        <v>12</v>
      </c>
      <c r="AG9" s="93">
        <f t="shared" ca="1" si="3"/>
        <v>8.3333333333333329E-2</v>
      </c>
      <c r="AH9" s="93">
        <f t="shared" ca="1" si="4"/>
        <v>8.8216894977168947E-2</v>
      </c>
      <c r="AI9" s="38">
        <f t="shared" ca="1" si="5"/>
        <v>24797.404177126689</v>
      </c>
      <c r="AJ9" s="36">
        <f t="shared" si="6"/>
        <v>2187.5499999999956</v>
      </c>
      <c r="AK9" s="36"/>
      <c r="AL9" s="36"/>
    </row>
    <row r="10" spans="2:41" ht="24.95" customHeight="1" x14ac:dyDescent="0.2">
      <c r="B10" s="35">
        <v>7</v>
      </c>
      <c r="C10" s="35" t="s">
        <v>54</v>
      </c>
      <c r="D10" s="65">
        <v>0</v>
      </c>
      <c r="E10" s="35" t="s">
        <v>3</v>
      </c>
      <c r="G10" s="65">
        <v>0</v>
      </c>
      <c r="H10" s="41" t="s">
        <v>3</v>
      </c>
      <c r="I10" s="90">
        <v>0.06</v>
      </c>
      <c r="J10" s="54">
        <f ca="1">IF(O10=0,0,IF(AI10&gt;0,IF(AI10&gt;M10,M10,AI10),0))</f>
        <v>36067.565498895732</v>
      </c>
      <c r="K10" s="15" t="s">
        <v>3</v>
      </c>
      <c r="L10" s="58">
        <f t="shared" ca="1" si="0"/>
        <v>18</v>
      </c>
      <c r="M10" s="56">
        <f>IF(J2&gt;6,50000,0)</f>
        <v>50000</v>
      </c>
      <c r="N10" s="42" t="s">
        <v>3</v>
      </c>
      <c r="O10" s="61">
        <f>IF($J$2&gt;6,18,0)</f>
        <v>18</v>
      </c>
      <c r="P10" s="42" t="s">
        <v>13</v>
      </c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13">
        <f t="shared" si="1"/>
        <v>0</v>
      </c>
      <c r="AC10" s="38">
        <f t="shared" si="2"/>
        <v>0</v>
      </c>
      <c r="AD10" s="36">
        <f t="shared" si="7"/>
        <v>6</v>
      </c>
      <c r="AE10" s="93">
        <f t="shared" si="9"/>
        <v>5.0958904109589037E-3</v>
      </c>
      <c r="AF10" s="13">
        <f t="shared" ca="1" si="8"/>
        <v>18</v>
      </c>
      <c r="AG10" s="93">
        <f t="shared" ca="1" si="3"/>
        <v>5.5555555555555552E-2</v>
      </c>
      <c r="AH10" s="93">
        <f t="shared" ca="1" si="4"/>
        <v>6.0651445966514457E-2</v>
      </c>
      <c r="AI10" s="38">
        <f t="shared" ca="1" si="5"/>
        <v>36067.565498895732</v>
      </c>
      <c r="AJ10" s="36">
        <f t="shared" si="6"/>
        <v>2187.5499999999956</v>
      </c>
      <c r="AK10" s="36"/>
      <c r="AL10" s="36"/>
    </row>
    <row r="11" spans="2:41" ht="24.95" customHeight="1" x14ac:dyDescent="0.2">
      <c r="B11" s="35">
        <v>8</v>
      </c>
      <c r="C11" s="35" t="s">
        <v>29</v>
      </c>
      <c r="D11" s="65">
        <v>0</v>
      </c>
      <c r="E11" s="35" t="s">
        <v>3</v>
      </c>
      <c r="G11" s="65">
        <v>0</v>
      </c>
      <c r="H11" s="41" t="s">
        <v>3</v>
      </c>
      <c r="I11" s="90">
        <v>5.5E-2</v>
      </c>
      <c r="J11" s="54">
        <f ca="1">IF(O11=0,0,IF(AL11&gt;0,IF(AL11&gt;M11,M11,AL11),0))</f>
        <v>193010.09555791007</v>
      </c>
      <c r="K11" s="15" t="s">
        <v>3</v>
      </c>
      <c r="L11" s="58">
        <f t="shared" ca="1" si="0"/>
        <v>114</v>
      </c>
      <c r="M11" s="56">
        <f>IF(J2&gt;36,300000,0)</f>
        <v>300000</v>
      </c>
      <c r="N11" s="42" t="s">
        <v>3</v>
      </c>
      <c r="O11" s="61">
        <f>IF($J$2&gt;36,180,0)</f>
        <v>180</v>
      </c>
      <c r="P11" s="42" t="s">
        <v>13</v>
      </c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13">
        <f t="shared" si="1"/>
        <v>0</v>
      </c>
      <c r="AC11" s="38">
        <f t="shared" si="2"/>
        <v>0</v>
      </c>
      <c r="AD11" s="36">
        <f t="shared" si="7"/>
        <v>5.5</v>
      </c>
      <c r="AE11" s="93">
        <f t="shared" si="9"/>
        <v>4.6712328767123286E-3</v>
      </c>
      <c r="AF11" s="13">
        <f t="shared" ca="1" si="8"/>
        <v>114</v>
      </c>
      <c r="AG11" s="93">
        <f t="shared" ca="1" si="3"/>
        <v>8.771929824561403E-3</v>
      </c>
      <c r="AH11" s="93">
        <f t="shared" ca="1" si="4"/>
        <v>1.3443162701273732E-2</v>
      </c>
      <c r="AI11" s="38">
        <f t="shared" ca="1" si="5"/>
        <v>162725.84425335613</v>
      </c>
      <c r="AJ11" s="36">
        <f t="shared" si="6"/>
        <v>2187.5499999999956</v>
      </c>
      <c r="AK11" s="44">
        <f ca="1">PMT(AD11/100/365*31,AF11,-100000)</f>
        <v>1133.3863100148826</v>
      </c>
      <c r="AL11" s="36">
        <f ca="1">AJ11/AK11*100000</f>
        <v>193010.09555791007</v>
      </c>
      <c r="AN11" s="13">
        <f ca="1">(AN5*12)+AN8</f>
        <v>114</v>
      </c>
      <c r="AO11" s="45" t="s">
        <v>13</v>
      </c>
    </row>
    <row r="12" spans="2:41" ht="24.95" customHeight="1" thickBot="1" x14ac:dyDescent="0.25">
      <c r="B12" s="35">
        <v>9</v>
      </c>
      <c r="C12" s="35" t="s">
        <v>30</v>
      </c>
      <c r="D12" s="66">
        <v>0</v>
      </c>
      <c r="E12" s="35" t="s">
        <v>3</v>
      </c>
      <c r="G12" s="66">
        <v>0</v>
      </c>
      <c r="H12" s="41" t="s">
        <v>3</v>
      </c>
      <c r="I12" s="91">
        <v>5.5E-2</v>
      </c>
      <c r="J12" s="55">
        <f ca="1">IF(O12=0,0,IF(AI12&gt;0,IF(AI12&gt;M12,M12,AI12),0))</f>
        <v>117862.91208791186</v>
      </c>
      <c r="K12" s="46" t="s">
        <v>3</v>
      </c>
      <c r="L12" s="59">
        <f t="shared" ca="1" si="0"/>
        <v>72</v>
      </c>
      <c r="M12" s="57">
        <f>IF(J2&gt;36,200000,0)</f>
        <v>200000</v>
      </c>
      <c r="N12" s="47" t="s">
        <v>3</v>
      </c>
      <c r="O12" s="62">
        <f>IF($J$2&gt;36,72,0)</f>
        <v>72</v>
      </c>
      <c r="P12" s="47" t="s">
        <v>13</v>
      </c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13">
        <f t="shared" si="1"/>
        <v>0</v>
      </c>
      <c r="AC12" s="38">
        <f t="shared" si="2"/>
        <v>0</v>
      </c>
      <c r="AD12" s="36">
        <f t="shared" si="7"/>
        <v>5.5</v>
      </c>
      <c r="AE12" s="93">
        <f t="shared" si="9"/>
        <v>4.6712328767123286E-3</v>
      </c>
      <c r="AF12" s="13">
        <f t="shared" ca="1" si="8"/>
        <v>72</v>
      </c>
      <c r="AG12" s="93">
        <f t="shared" ca="1" si="3"/>
        <v>1.3888888888888888E-2</v>
      </c>
      <c r="AH12" s="93">
        <f t="shared" ca="1" si="4"/>
        <v>1.8560121765601217E-2</v>
      </c>
      <c r="AI12" s="38">
        <f t="shared" ca="1" si="5"/>
        <v>117862.91208791186</v>
      </c>
      <c r="AJ12" s="36">
        <f t="shared" si="6"/>
        <v>2187.5499999999956</v>
      </c>
      <c r="AK12" s="36"/>
      <c r="AL12" s="36"/>
      <c r="AN12" s="30"/>
    </row>
    <row r="13" spans="2:41" ht="24.95" customHeight="1" thickBot="1" x14ac:dyDescent="0.25">
      <c r="B13" s="28"/>
      <c r="C13" s="28" t="s">
        <v>31</v>
      </c>
      <c r="D13" s="29">
        <f>SUM(D2:D12)</f>
        <v>24690</v>
      </c>
      <c r="E13" s="28" t="s">
        <v>3</v>
      </c>
      <c r="G13" s="48">
        <f>SUM(G4:G12)</f>
        <v>2009669.5</v>
      </c>
      <c r="H13" s="49" t="s">
        <v>3</v>
      </c>
      <c r="I13" s="13" t="s">
        <v>59</v>
      </c>
      <c r="M13" s="67">
        <v>0</v>
      </c>
      <c r="N13" s="13" t="s">
        <v>60</v>
      </c>
      <c r="O13" s="124" t="s">
        <v>65</v>
      </c>
      <c r="P13" s="124"/>
      <c r="AC13" s="38">
        <f>SUM(AC2:AC12)</f>
        <v>24690</v>
      </c>
      <c r="AI13" s="50"/>
    </row>
    <row r="14" spans="2:41" ht="24.95" customHeight="1" x14ac:dyDescent="0.2">
      <c r="B14" s="73"/>
      <c r="C14" s="112"/>
      <c r="D14" s="112"/>
      <c r="E14" s="112"/>
      <c r="J14" s="13" t="s">
        <v>61</v>
      </c>
      <c r="M14" s="70">
        <f>(100-M13)/100*('1.กรอกข้อมูลสลิปเงินเดือน'!H10+'1.กรอกข้อมูลสลิปเงินเดือน'!H11)</f>
        <v>7500</v>
      </c>
      <c r="N14" s="13" t="s">
        <v>3</v>
      </c>
      <c r="O14" s="89" t="s">
        <v>66</v>
      </c>
      <c r="P14" s="28"/>
      <c r="AB14" s="13" t="s">
        <v>14</v>
      </c>
      <c r="AC14" s="38">
        <f>'1.กรอกข้อมูลสลิปเงินเดือน'!D5</f>
        <v>58390</v>
      </c>
      <c r="AI14" s="50"/>
      <c r="AJ14" s="13">
        <v>5000</v>
      </c>
      <c r="AN14" s="51">
        <f ca="1">PMT(AD11/100/12,AF11,-100000)</f>
        <v>1128.1897495294163</v>
      </c>
    </row>
    <row r="15" spans="2:41" ht="24.95" customHeight="1" x14ac:dyDescent="0.35">
      <c r="B15" s="72" t="s">
        <v>62</v>
      </c>
      <c r="C15" s="73"/>
      <c r="D15" s="63"/>
      <c r="E15" s="73"/>
      <c r="G15" s="71" t="s">
        <v>58</v>
      </c>
      <c r="H15" s="53"/>
      <c r="I15" s="53"/>
      <c r="J15" s="53"/>
      <c r="AB15" s="13" t="s">
        <v>15</v>
      </c>
      <c r="AC15" s="38">
        <f>'1.กรอกข้อมูลสลิปเงินเดือน'!H13+'2.กรอกข้อมูลสหกรณ์ออมทรัพย์ มข'!AC13-'1.กรอกข้อมูลสลิปเงินเดือน'!H8+M14-'1.กรอกข้อมูลสลิปเงินเดือน'!H10-'1.กรอกข้อมูลสลิปเงินเดือน'!H11</f>
        <v>37517.65</v>
      </c>
      <c r="AD15" s="36">
        <f>AC14*(100-AC17)/100</f>
        <v>39705.199999999997</v>
      </c>
      <c r="AI15" s="50"/>
      <c r="AN15" s="36">
        <f ca="1">(AJ14/AN14*100000)</f>
        <v>443187.85931937158</v>
      </c>
    </row>
    <row r="16" spans="2:41" ht="24.95" customHeight="1" x14ac:dyDescent="0.2">
      <c r="AB16" s="13" t="s">
        <v>36</v>
      </c>
      <c r="AC16" s="36">
        <f>(AC14-AC15)*100/AC14</f>
        <v>35.746446309299536</v>
      </c>
      <c r="AD16" s="38">
        <f>AD15-AC15</f>
        <v>2187.5499999999956</v>
      </c>
      <c r="AE16" s="93" t="s">
        <v>72</v>
      </c>
    </row>
    <row r="17" spans="9:29" ht="24.95" hidden="1" customHeight="1" x14ac:dyDescent="0.2">
      <c r="AC17" s="36">
        <v>32</v>
      </c>
    </row>
    <row r="18" spans="9:29" ht="24.95" hidden="1" customHeight="1" x14ac:dyDescent="0.2"/>
    <row r="19" spans="9:29" ht="24.95" hidden="1" customHeight="1" x14ac:dyDescent="0.2">
      <c r="I19" s="13">
        <f>1/36</f>
        <v>2.7777777777777776E-2</v>
      </c>
      <c r="AB19" s="13">
        <f>6.15/100/365*30</f>
        <v>5.0547945205479455E-3</v>
      </c>
    </row>
    <row r="20" spans="9:29" ht="24.95" hidden="1" customHeight="1" x14ac:dyDescent="0.2">
      <c r="I20" s="13">
        <f>I19+AB19</f>
        <v>3.2832572298325723E-2</v>
      </c>
      <c r="AC20" s="38">
        <f>AD16/I20</f>
        <v>66627.43266422498</v>
      </c>
    </row>
  </sheetData>
  <sheetProtection algorithmName="SHA-512" hashValue="ibXVe4K8I8v9NRFAP62UwzL1vk73tPO715Zn3P/AFfnvnnP8U4VcVcJMP2B7BBq0COFGlIZRPAXkhGKiBGHtBw==" saltValue="dDfdK6XOcsypTgEXmg4Kag==" spinCount="100000" sheet="1" objects="1" scenarios="1" selectLockedCells="1"/>
  <mergeCells count="7">
    <mergeCell ref="C14:E14"/>
    <mergeCell ref="G3:H3"/>
    <mergeCell ref="J3:K3"/>
    <mergeCell ref="M3:P3"/>
    <mergeCell ref="G1:I1"/>
    <mergeCell ref="G2:I2"/>
    <mergeCell ref="O13:P13"/>
  </mergeCells>
  <printOptions horizontalCentered="1"/>
  <pageMargins left="0.25" right="0.25" top="0.75" bottom="0.75" header="0.3" footer="0.3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โปรแกรมคำนวณเงินกู้ สอ.มข.</vt:lpstr>
      <vt:lpstr>1.กรอกข้อมูลสลิปเงินเดือน</vt:lpstr>
      <vt:lpstr>2.กรอกข้อมูลสหกรณ์ออมทรัพย์ มข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2020-03-10T02:00:00Z</dcterms:modified>
</cp:coreProperties>
</file>